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wla0025\Desktop\"/>
    </mc:Choice>
  </mc:AlternateContent>
  <bookViews>
    <workbookView xWindow="0" yWindow="0" windowWidth="28800" windowHeight="12300" tabRatio="789" activeTab="7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I70" i="17"/>
  <c r="J70" i="17"/>
  <c r="K70" i="17"/>
  <c r="L70" i="17"/>
  <c r="M70" i="17"/>
  <c r="N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S12" i="7"/>
  <c r="T12" i="7"/>
  <c r="U12" i="7"/>
  <c r="V12" i="7"/>
  <c r="W12" i="7"/>
  <c r="R12" i="7"/>
  <c r="X12" i="7" l="1"/>
  <c r="X21" i="7"/>
  <c r="X13" i="7"/>
  <c r="X11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12" i="7"/>
  <c r="H12" i="7"/>
  <c r="I11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C5" i="1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<sst xmlns="http://schemas.openxmlformats.org/spreadsheetml/2006/main" count="1395" uniqueCount="676">
  <si>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</si>
  <si>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</si>
  <si>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</si>
  <si>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</si>
  <si>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</si>
  <si>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</si>
  <si>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</si>
  <si>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</si>
  <si>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</si>
  <si>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</si>
  <si>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</si>
  <si>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</si>
  <si>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</si>
  <si>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</si>
  <si>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</si>
  <si>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</si>
  <si>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</si>
  <si>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</si>
  <si>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</si>
  <si>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</si>
  <si>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</si>
  <si>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</si>
  <si>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</si>
  <si>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</si>
  <si>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</si>
  <si>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</si>
  <si>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</si>
  <si>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</si>
  <si>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</si>
  <si>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</si>
  <si>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</si>
  <si>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</si>
  <si>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</si>
  <si>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</si>
  <si>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</si>
  <si>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</si>
  <si>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</si>
  <si>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</si>
  <si>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</si>
  <si>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</si>
  <si>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</si>
  <si>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</si>
  <si>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</si>
  <si>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</si>
  <si>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</si>
  <si>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</si>
  <si>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</si>
  <si>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</si>
  <si>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</si>
  <si>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</si>
  <si>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</si>
  <si>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</si>
  <si>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</si>
  <si>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</si>
  <si>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</si>
  <si>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</si>
  <si>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</si>
  <si>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</si>
  <si>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</si>
  <si>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</si>
  <si>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</si>
  <si>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</si>
  <si>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</si>
  <si>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</si>
  <si>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</si>
  <si>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</si>
  <si>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</si>
  <si>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</si>
  <si>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</si>
  <si>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</si>
  <si>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</si>
  <si>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</si>
  <si>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</si>
  <si>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</si>
  <si>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</si>
  <si>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</si>
  <si>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</si>
  <si>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</si>
  <si>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</si>
  <si>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</si>
  <si>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</si>
  <si>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</si>
  <si>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</si>
  <si>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</si>
  <si>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</si>
  <si>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</si>
  <si>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</si>
  <si>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</si>
  <si>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</si>
  <si>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</si>
  <si>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</si>
  <si>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</si>
  <si>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</si>
  <si>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</si>
  <si>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</si>
  <si>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</si>
  <si>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</si>
  <si>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</si>
  <si>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</si>
  <si>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</si>
  <si>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</si>
  <si>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</si>
  <si>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</si>
  <si>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</si>
  <si>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</si>
  <si>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</si>
  <si>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</si>
  <si>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</si>
  <si>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</si>
  <si>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</si>
  <si>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</si>
  <si>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</si>
  <si>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</si>
  <si>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</si>
  <si>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</si>
  <si>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</si>
  <si>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</si>
  <si>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</si>
  <si>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</si>
  <si>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</si>
  <si>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</si>
  <si>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</si>
  <si>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</si>
  <si>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</si>
  <si>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</si>
  <si>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</si>
  <si>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</si>
  <si>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</si>
  <si>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</si>
  <si>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</si>
  <si>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</si>
  <si>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</si>
  <si>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</si>
  <si>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</si>
  <si>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</si>
  <si>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</si>
  <si>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</si>
  <si>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</si>
  <si>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</si>
  <si>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</si>
  <si>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</si>
  <si>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</si>
  <si>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</si>
  <si>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</si>
  <si>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</si>
  <si>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</si>
  <si>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</si>
  <si>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</si>
  <si>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</si>
  <si>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</si>
  <si>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</si>
  <si>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</si>
  <si>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</si>
  <si>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</si>
  <si>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</si>
  <si>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</si>
  <si>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</si>
  <si>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</si>
  <si>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</si>
  <si>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</si>
  <si>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</si>
  <si>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</si>
  <si>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</si>
  <si>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</si>
  <si>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</si>
  <si>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</si>
  <si>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</si>
  <si>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</si>
  <si>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</si>
  <si>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</si>
  <si>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</si>
  <si>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</si>
  <si>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</si>
  <si>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</si>
  <si>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</si>
  <si>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</si>
  <si>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</si>
  <si>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</si>
  <si>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</si>
  <si>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</si>
  <si>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</si>
  <si>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</si>
  <si>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</si>
  <si>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</si>
  <si>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</si>
  <si>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</si>
  <si>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</si>
  <si>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</si>
  <si>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</si>
  <si>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</si>
  <si>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</si>
  <si>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</si>
  <si>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</si>
  <si>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</si>
  <si>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</si>
  <si>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</si>
  <si>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</si>
  <si>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</si>
  <si>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</si>
  <si>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</si>
  <si>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</si>
  <si>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</si>
  <si>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</si>
  <si>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</si>
  <si>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</si>
  <si>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</si>
  <si>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</si>
  <si>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</si>
  <si>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</si>
  <si>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</si>
  <si>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</si>
  <si>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</si>
  <si>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</si>
  <si>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</si>
  <si>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</si>
  <si>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</si>
  <si>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</si>
  <si>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</si>
  <si>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</si>
  <si>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</si>
  <si>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</si>
  <si>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</si>
  <si>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</si>
  <si>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</si>
  <si>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</si>
  <si>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</si>
  <si>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</si>
  <si>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</si>
  <si>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</si>
  <si>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</si>
  <si>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</si>
  <si>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</si>
  <si>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</si>
  <si>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</si>
  <si>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</si>
  <si>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</si>
  <si>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</si>
  <si>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</si>
  <si>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</si>
  <si>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</si>
  <si>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</si>
  <si>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</si>
  <si>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</si>
  <si>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</si>
  <si>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</si>
  <si>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</si>
  <si>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</si>
  <si>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</si>
  <si>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</si>
  <si>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</si>
  <si>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</si>
  <si>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</si>
  <si>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</si>
  <si>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</si>
  <si>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</si>
  <si>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</si>
  <si>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</si>
  <si>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</si>
  <si>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</si>
  <si>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</si>
  <si>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</si>
  <si>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</si>
  <si>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</si>
  <si>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</si>
  <si>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</si>
  <si>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</si>
  <si>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</si>
  <si>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</si>
  <si>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</si>
  <si>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</si>
  <si>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</si>
  <si>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</si>
  <si>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</si>
  <si>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</si>
  <si>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</si>
  <si>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</si>
  <si>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</si>
  <si>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</si>
  <si>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</si>
  <si>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</si>
  <si>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</si>
  <si>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</si>
  <si>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</si>
  <si>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</si>
  <si>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</si>
  <si>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</si>
  <si>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</si>
  <si>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</si>
  <si>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</si>
  <si>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</si>
  <si>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</si>
  <si>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</si>
  <si>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</si>
  <si>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</si>
  <si>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</si>
  <si>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</si>
  <si>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</si>
  <si>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</si>
  <si>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</si>
  <si>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</si>
  <si>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</si>
  <si>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</si>
  <si>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</si>
  <si>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</si>
  <si>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</si>
  <si>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</si>
  <si>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</si>
  <si>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</si>
  <si>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</si>
  <si>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</si>
  <si>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</si>
  <si>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</si>
  <si>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</si>
  <si>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</si>
  <si>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</si>
  <si>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</si>
  <si>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</si>
  <si>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</si>
  <si>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</si>
  <si>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</si>
  <si>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</si>
  <si>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</si>
  <si>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</si>
  <si>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</si>
  <si>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</si>
  <si>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</si>
  <si>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</si>
  <si>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</si>
  <si>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</si>
  <si>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</si>
  <si>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</si>
  <si>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</si>
  <si>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</si>
  <si>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</si>
  <si>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</si>
  <si>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</si>
  <si>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</si>
  <si>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</si>
  <si>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</si>
  <si>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</si>
  <si>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</si>
  <si>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</si>
  <si>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</si>
  <si>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</si>
  <si>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</si>
  <si>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</si>
  <si>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</si>
  <si>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</si>
  <si>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</si>
  <si>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</si>
  <si>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</si>
  <si>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</si>
  <si>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</si>
  <si>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</si>
  <si>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</si>
  <si>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</si>
  <si>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</si>
  <si>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</si>
  <si>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</si>
  <si>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</si>
  <si>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</si>
  <si>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</si>
  <si>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</si>
  <si>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</si>
  <si>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</si>
  <si>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</si>
  <si>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</si>
  <si>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</si>
  <si>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</si>
  <si>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</si>
  <si>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</si>
  <si>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</si>
  <si>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</si>
  <si>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</si>
  <si>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</si>
  <si>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</si>
  <si>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</si>
  <si>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</si>
  <si>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</si>
  <si>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</si>
  <si>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</si>
  <si>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</si>
  <si>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</si>
  <si>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</si>
  <si>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</si>
  <si>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</si>
  <si>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</si>
  <si>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</si>
  <si>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</si>
  <si>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</si>
  <si>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</si>
  <si>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</si>
  <si>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</si>
  <si>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</si>
  <si>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</si>
  <si>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</si>
  <si>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</si>
  <si>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</si>
  <si>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</si>
  <si>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</si>
  <si>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</si>
  <si>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</si>
  <si>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</si>
  <si>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</si>
  <si>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</si>
  <si>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</si>
  <si>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</si>
  <si>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</si>
  <si>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</si>
  <si>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</si>
  <si>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</si>
  <si>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</si>
  <si>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</si>
  <si>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</si>
  <si>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</si>
  <si>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</si>
  <si>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</si>
  <si>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</si>
  <si>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</si>
  <si>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</si>
  <si>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</si>
  <si>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</si>
  <si>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</si>
  <si>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</si>
  <si>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</si>
  <si>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</si>
  <si>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</si>
  <si>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</si>
  <si>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</si>
  <si>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</si>
  <si>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</si>
  <si>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</si>
  <si>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</si>
  <si>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</si>
  <si>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</si>
  <si>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</si>
  <si>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</si>
  <si>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</si>
  <si>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</si>
  <si>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</si>
  <si>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</si>
  <si>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</si>
  <si>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</si>
  <si>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</si>
  <si>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</si>
  <si>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</si>
  <si>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</si>
  <si>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</si>
  <si>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</si>
  <si>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</si>
  <si>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</si>
  <si>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</si>
  <si>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</si>
  <si>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</si>
  <si>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</si>
  <si>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</si>
  <si>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</si>
  <si>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</si>
  <si>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</si>
  <si>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</si>
  <si>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</si>
  <si>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</si>
  <si>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</si>
  <si>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</si>
  <si>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</si>
  <si>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</si>
  <si>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</si>
  <si>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</si>
  <si>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</si>
  <si>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</si>
  <si>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</si>
  <si>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</si>
  <si>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</si>
  <si>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</si>
  <si>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</si>
  <si>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</si>
  <si>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</si>
  <si>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</si>
  <si>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</si>
  <si>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</si>
  <si>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</si>
  <si>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</si>
  <si>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</si>
  <si>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</si>
  <si>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</si>
  <si>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</si>
  <si>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</si>
  <si>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</si>
  <si>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</si>
  <si>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</si>
  <si>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</si>
  <si>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</si>
  <si>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</si>
  <si>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</si>
  <si>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</si>
  <si>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</si>
  <si>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</si>
  <si>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</si>
  <si>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</si>
  <si>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</si>
  <si>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</si>
  <si>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</si>
  <si>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</si>
  <si>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</si>
  <si>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</si>
  <si>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</si>
  <si>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</si>
  <si>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</si>
  <si>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</si>
  <si>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</si>
  <si>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</si>
  <si>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</si>
  <si>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</si>
  <si>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</si>
  <si>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</si>
  <si>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</si>
  <si>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</si>
  <si>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</si>
  <si>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</si>
  <si>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</si>
  <si>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</si>
  <si>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</si>
  <si>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</si>
  <si>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</si>
  <si>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</si>
  <si>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</si>
  <si>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</si>
  <si>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</si>
  <si>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</si>
  <si>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</si>
  <si>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</si>
  <si>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</si>
  <si>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</si>
  <si>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</si>
  <si>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</si>
  <si>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</si>
  <si>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</si>
  <si>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</si>
  <si>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</si>
  <si>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</si>
  <si>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</si>
  <si>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</si>
  <si>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</si>
  <si>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</si>
  <si>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</si>
  <si>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</si>
  <si>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</si>
  <si>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</si>
  <si>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</si>
  <si>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</si>
  <si>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</si>
  <si>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</si>
  <si>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</si>
  <si>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</si>
  <si>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</si>
  <si>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</si>
  <si>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</si>
  <si>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</si>
  <si>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</si>
  <si>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</si>
  <si>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</si>
  <si>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</si>
  <si>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</si>
  <si>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</si>
  <si>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</si>
  <si>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</si>
  <si>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</si>
  <si>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</si>
  <si>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</si>
  <si>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</si>
  <si>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</si>
  <si>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</si>
  <si>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</si>
  <si>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</si>
  <si>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</si>
  <si>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</si>
  <si>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</si>
  <si>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</si>
  <si>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</si>
  <si>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</si>
  <si>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</si>
  <si>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</si>
  <si>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</si>
  <si>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</si>
  <si>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</si>
  <si>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</si>
  <si>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</si>
  <si>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</si>
  <si>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</si>
  <si>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</si>
  <si>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</si>
  <si>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</si>
  <si>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</si>
  <si>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</si>
  <si>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</si>
  <si>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</si>
  <si>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</si>
  <si>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</si>
  <si>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</si>
  <si>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</si>
  <si>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</si>
  <si>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</si>
  <si>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</si>
  <si>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</si>
  <si>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</si>
  <si>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</si>
  <si>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</si>
  <si>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</si>
  <si>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</si>
  <si>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</si>
  <si>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</si>
  <si>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</si>
  <si>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</si>
  <si>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</si>
  <si>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</si>
  <si>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</si>
  <si>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</si>
  <si>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</si>
  <si>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</si>
  <si>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</si>
  <si>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</si>
  <si>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</si>
  <si>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</si>
  <si>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</si>
  <si>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</si>
  <si>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</si>
  <si>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</si>
  <si>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</si>
  <si>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</si>
  <si>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</si>
  <si>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</si>
  <si>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</si>
  <si>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</si>
  <si>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</si>
  <si>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</si>
  <si>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</si>
  <si>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</si>
  <si>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</si>
  <si>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</si>
  <si>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</si>
  <si>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</si>
  <si>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</si>
  <si>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</si>
  <si>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</si>
  <si>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</si>
  <si>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</si>
  <si>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</si>
  <si>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</si>
  <si>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</si>
  <si>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</si>
  <si>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</si>
  <si>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</si>
  <si>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</si>
  <si>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</si>
  <si>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</si>
  <si>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</si>
  <si>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</si>
  <si>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Altensteig</t>
  </si>
  <si>
    <t>9870113800006</t>
  </si>
  <si>
    <t>Jahnstraße 13</t>
  </si>
  <si>
    <t>Altensteig</t>
  </si>
  <si>
    <t>Team Bilanzierung</t>
  </si>
  <si>
    <t>netznutzung@suedwest-edm.de</t>
  </si>
  <si>
    <t>07071 157 3363</t>
  </si>
  <si>
    <t>THE0NKH701138000</t>
  </si>
  <si>
    <t>DTN</t>
  </si>
  <si>
    <t>DE_HMF04</t>
  </si>
  <si>
    <t>DE_HEF04</t>
  </si>
  <si>
    <t>DE_GBA04</t>
  </si>
  <si>
    <t>DE_GBD04</t>
  </si>
  <si>
    <t>DE_GKO04</t>
  </si>
  <si>
    <t>DE_GBH04</t>
  </si>
  <si>
    <t>DE_GGA04</t>
  </si>
  <si>
    <t>DE_GMK04</t>
  </si>
  <si>
    <t>DE_GPD04</t>
  </si>
  <si>
    <t>DE_GHA04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</si>
</sst>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1" xfId="0" applyNumberFormat="1" applyFont="1" applyFill="1" applyBorder="1" applyAlignment="1" applyProtection="1">
      <alignment horizontal="center" vertical="center"/>
    </xf>
    <xf numFmtId="193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6" borderId="0" xfId="69" applyNumberFormat="1" applyFont="1" applyFill="1" applyBorder="1" applyProtection="1"/>
    <xf numFmtId="179" fontId="12" fillId="76" borderId="0" xfId="69" applyNumberFormat="1" applyFont="1" applyFill="1" applyBorder="1" applyAlignment="1" applyProtection="1">
      <alignment horizontal="center"/>
    </xf>
    <xf numFmtId="180" fontId="12" fillId="76" borderId="0" xfId="69" applyNumberFormat="1" applyFont="1" applyFill="1" applyBorder="1" applyProtection="1"/>
    <xf numFmtId="180" fontId="12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6" borderId="40" xfId="69" applyNumberFormat="1" applyFont="1" applyFill="1" applyBorder="1" applyProtection="1"/>
    <xf numFmtId="179" fontId="12" fillId="76" borderId="40" xfId="69" applyNumberFormat="1" applyFont="1" applyFill="1" applyBorder="1" applyAlignment="1" applyProtection="1">
      <alignment horizontal="center"/>
    </xf>
    <xf numFmtId="180" fontId="12" fillId="76" borderId="40" xfId="69" applyNumberFormat="1" applyFont="1" applyFill="1" applyBorder="1" applyProtection="1"/>
    <xf numFmtId="180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/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algorithmName="SHA-512" hashValue="DD/tb/dfLwNE7zUgYW30TIzvcLKr9N6c95KdNdSLjd/LIGWaulzEuPjD4I8FzcK17UmxlBDJKuwOjldo+FtrrQ==" saltValue="RHRVAHifYBMk/wJYnr7I3g==" spinCount="100000" sheet="1"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45009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45078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2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72213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663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Altensteig</v>
      </c>
      <c r="E28" s="38"/>
      <c r="F28" s="11"/>
      <c r="G28" s="2"/>
    </row>
    <row r="29" spans="1:15">
      <c r="B29" s="15"/>
      <c r="C29" s="22" t="s">
        <v>393</v>
      </c>
      <c r="D29" s="45" t="s">
        <v>660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9" priority="3">
      <formula>IF(CELL("Zeile",D30)&lt;$D$25+CELL("Zeile",$D$29),1,0)</formula>
    </cfRule>
  </conditionalFormatting>
  <conditionalFormatting sqref="D30:D48">
    <cfRule type="expression" dxfId="58" priority="2">
      <formula>IF(CELL(D30)&lt;$D$27+27,1,0)</formula>
    </cfRule>
  </conditionalFormatting>
  <conditionalFormatting sqref="D29">
    <cfRule type="expression" dxfId="57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ignoredErrors>
    <ignoredError sqref="D11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32" sqref="D3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Stadtwerke Altensteig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Altensteig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9870113800006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45078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664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11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660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6" priority="20">
      <formula>IF(#REF!="Gaspool",1,0)</formula>
    </cfRule>
  </conditionalFormatting>
  <conditionalFormatting sqref="D45:D59">
    <cfRule type="expression" dxfId="55" priority="16">
      <formula>IF(CELL("Zeile",D45)&lt;$D$43+CELL("Zeile",$D$45),1,0)</formula>
    </cfRule>
  </conditionalFormatting>
  <conditionalFormatting sqref="D46:D59">
    <cfRule type="expression" dxfId="54" priority="15">
      <formula>IF(CELL(D46)&lt;$D$33+27,1,0)</formula>
    </cfRule>
  </conditionalFormatting>
  <conditionalFormatting sqref="D20">
    <cfRule type="expression" dxfId="53" priority="14">
      <formula>IF($D$19=$H$19,1,0)</formula>
    </cfRule>
  </conditionalFormatting>
  <conditionalFormatting sqref="D28">
    <cfRule type="expression" dxfId="52" priority="3">
      <formula>IF($D$15="synthetisch",1,0)</formula>
    </cfRule>
  </conditionalFormatting>
  <conditionalFormatting sqref="D25">
    <cfRule type="expression" dxfId="51" priority="1">
      <formula>IF(AND($D$24=$I$24,$D$23=$H$23),1,0)</formula>
    </cfRule>
  </conditionalFormatting>
  <conditionalFormatting sqref="D23:D25">
    <cfRule type="expression" dxfId="50" priority="4">
      <formula>IF($D$15="analytisch",1,0)</formula>
    </cfRule>
  </conditionalFormatting>
  <conditionalFormatting sqref="D24">
    <cfRule type="expression" dxfId="49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="85" zoomScaleNormal="85" workbookViewId="0">
      <selection activeCell="H5" sqref="H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Altensteig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45078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 t="str">
        <f>INDEX('SLP-Verfahren'!D45:D59,'SLP-Temp-Gebiet #01'!F10)</f>
        <v>Altensteig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3" t="s">
        <v>584</v>
      </c>
      <c r="D13" s="353"/>
      <c r="E13" s="35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4" t="s">
        <v>445</v>
      </c>
      <c r="D14" s="35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4" t="s">
        <v>385</v>
      </c>
      <c r="D15" s="35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665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0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/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665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DTN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660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108320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503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#01'!#REF!,"B"),IF('SLP-Temp-Gebiet #01'!E26="Allgemeine GPT",CONCATENATE(Netzbetreiber!$D$11,'SLP-Temp-Gebiet #01'!#REF!,"A"),""))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607</v>
      </c>
      <c r="F36" s="157" t="s">
        <v>607</v>
      </c>
      <c r="G36" s="157" t="s">
        <v>607</v>
      </c>
      <c r="H36" s="157" t="s">
        <v>607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0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0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DTN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Altensteig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v>108320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Temp. (2m)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">
        <v>607</v>
      </c>
      <c r="F70" s="160" t="s">
        <v>607</v>
      </c>
      <c r="G70" s="160" t="s">
        <v>607</v>
      </c>
      <c r="H70" s="160" t="s">
        <v>607</v>
      </c>
      <c r="I70" s="163" t="str">
        <f t="shared" ref="I70:N70" si="16">I36</f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5" t="s">
        <v>580</v>
      </c>
      <c r="D73" s="355"/>
      <c r="E73" s="355"/>
      <c r="F73" s="355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4 F25:N25">
    <cfRule type="expression" dxfId="48" priority="30">
      <formula>IF(E$20&lt;=$F$18,1,0)</formula>
    </cfRule>
  </conditionalFormatting>
  <conditionalFormatting sqref="E33:N37">
    <cfRule type="expression" dxfId="47" priority="29">
      <formula>IF(E$31&lt;=$F$29,1,0)</formula>
    </cfRule>
  </conditionalFormatting>
  <conditionalFormatting sqref="E26:N26">
    <cfRule type="expression" dxfId="46" priority="28">
      <formula>IF(E$20&lt;=$F$18,1,0)</formula>
    </cfRule>
  </conditionalFormatting>
  <conditionalFormatting sqref="E26:N26">
    <cfRule type="expression" dxfId="45" priority="27">
      <formula>IF(E$20&lt;=$F$18,1,0)</formula>
    </cfRule>
  </conditionalFormatting>
  <conditionalFormatting sqref="E57:N60">
    <cfRule type="expression" dxfId="44" priority="24">
      <formula>IF(E$55&lt;=$F$53,1,0)</formula>
    </cfRule>
  </conditionalFormatting>
  <conditionalFormatting sqref="E61:N61">
    <cfRule type="expression" dxfId="43" priority="23">
      <formula>IF(E$55&lt;=$F$53,1,0)</formula>
    </cfRule>
  </conditionalFormatting>
  <conditionalFormatting sqref="E67:N69">
    <cfRule type="expression" dxfId="42" priority="17">
      <formula>IF(E$65&lt;=$F$63,1,0)</formula>
    </cfRule>
  </conditionalFormatting>
  <conditionalFormatting sqref="E66:N69 E71:N71">
    <cfRule type="expression" dxfId="41" priority="15">
      <formula>IF(E$65&gt;$F$63,1,0)</formula>
    </cfRule>
  </conditionalFormatting>
  <conditionalFormatting sqref="E57:N61">
    <cfRule type="expression" dxfId="40" priority="14">
      <formula>IF(E$55&gt;$F$53,1,0)</formula>
    </cfRule>
  </conditionalFormatting>
  <conditionalFormatting sqref="E21:N24 E26:N26 F25:N25">
    <cfRule type="expression" dxfId="39" priority="13">
      <formula>IF(E$20&gt;$F$18,1,0)</formula>
    </cfRule>
  </conditionalFormatting>
  <conditionalFormatting sqref="E33:N37">
    <cfRule type="expression" dxfId="38" priority="12">
      <formula>IF(E$31&gt;$F$29,1,0)</formula>
    </cfRule>
  </conditionalFormatting>
  <conditionalFormatting sqref="H11 H8:H9">
    <cfRule type="expression" dxfId="37" priority="11">
      <formula>IF($F$9=1,1,0)</formula>
    </cfRule>
  </conditionalFormatting>
  <conditionalFormatting sqref="E56:N56">
    <cfRule type="expression" dxfId="36" priority="10">
      <formula>IF(E$55&gt;$F$53,1,0)</formula>
    </cfRule>
  </conditionalFormatting>
  <conditionalFormatting sqref="E32:N32">
    <cfRule type="expression" dxfId="35" priority="9">
      <formula>IF(E$31&gt;$F$29,1,0)</formula>
    </cfRule>
  </conditionalFormatting>
  <conditionalFormatting sqref="E71:N71">
    <cfRule type="expression" dxfId="34" priority="8">
      <formula>IF(E$65&lt;=$F$63,1,0)</formula>
    </cfRule>
  </conditionalFormatting>
  <conditionalFormatting sqref="H10">
    <cfRule type="expression" dxfId="33" priority="7">
      <formula>IF($F$9=1,1,0)</formula>
    </cfRule>
  </conditionalFormatting>
  <conditionalFormatting sqref="E70:N70">
    <cfRule type="expression" dxfId="32" priority="4">
      <formula>IF(E$65&lt;=$F$63,1,0)</formula>
    </cfRule>
  </conditionalFormatting>
  <conditionalFormatting sqref="E70:N70">
    <cfRule type="expression" dxfId="31" priority="3">
      <formula>IF(E$65&gt;$F$63,1,0)</formula>
    </cfRule>
  </conditionalFormatting>
  <conditionalFormatting sqref="E25">
    <cfRule type="expression" dxfId="30" priority="2">
      <formula>IF(E$20&lt;=$F$18,1,0)</formula>
    </cfRule>
  </conditionalFormatting>
  <conditionalFormatting sqref="E25">
    <cfRule type="expression" dxfId="29" priority="1">
      <formula>IF(E$20&gt;$F$18,1,0)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59 E22 I22:N22 F53 F63 G24:N24 G71:N71 E33:N35 I70:N70 F60:N6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Altensteig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3" t="s">
        <v>584</v>
      </c>
      <c r="D13" s="353"/>
      <c r="E13" s="353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4" t="s">
        <v>445</v>
      </c>
      <c r="D14" s="354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4" t="s">
        <v>385</v>
      </c>
      <c r="D15" s="354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5" t="s">
        <v>580</v>
      </c>
      <c r="D72" s="355"/>
      <c r="E72" s="355"/>
      <c r="F72" s="35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Y22" sqref="Y22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Stadtwerke Altensteig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Altensteig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9870113800006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45078</v>
      </c>
      <c r="E8" s="131"/>
      <c r="F8" s="131"/>
      <c r="H8" s="129" t="s">
        <v>493</v>
      </c>
      <c r="J8" s="133">
        <f>COUNTA(D12:D100)</f>
        <v>11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Altensteig</v>
      </c>
      <c r="D12" s="63" t="s">
        <v>248</v>
      </c>
      <c r="E12" s="166" t="s">
        <v>667</v>
      </c>
      <c r="F12" s="308" t="str">
        <f>VLOOKUP($E12,'BDEW-Standard'!$B$3:$M$94,F$9,0)</f>
        <v>D14</v>
      </c>
      <c r="H12" s="279">
        <f>ROUND(VLOOKUP($E12,'BDEW-Standard'!$B$3:$M$94,H$9,0),7)</f>
        <v>3.1850190999999999</v>
      </c>
      <c r="I12" s="279">
        <f>ROUND(VLOOKUP($E12,'BDEW-Standard'!$B$3:$M$94,I$9,0),7)</f>
        <v>-37.412415500000002</v>
      </c>
      <c r="J12" s="279">
        <f>ROUND(VLOOKUP($E12,'BDEW-Standard'!$B$3:$M$94,J$9,0),7)</f>
        <v>6.1723179000000004</v>
      </c>
      <c r="K12" s="279">
        <f>ROUND(VLOOKUP($E12,'BDEW-Standard'!$B$3:$M$94,K$9,0),7)</f>
        <v>7.6109599999999999E-2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2" si="1">($H12/(1+($I12/($Q$9-$L12))^$J12)+$K12)+MAX($M12*$Q$9+$N12,$O12*$Q$9+$P12)</f>
        <v>0.95508749343949439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>
        <v>345.60500000000002</v>
      </c>
      <c r="Z12" s="213"/>
    </row>
    <row r="13" spans="2:26" s="144" customFormat="1">
      <c r="B13" s="145">
        <v>2</v>
      </c>
      <c r="C13" s="146" t="str">
        <f t="shared" si="0"/>
        <v>Altensteig</v>
      </c>
      <c r="D13" s="63" t="s">
        <v>248</v>
      </c>
      <c r="E13" s="166" t="s">
        <v>666</v>
      </c>
      <c r="F13" s="308" t="str">
        <f>VLOOKUP($E13,'BDEW-Standard'!$B$3:$M$94,F$9,0)</f>
        <v>D24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</v>
      </c>
      <c r="S13" s="282">
        <f>ROUND(VLOOKUP(MID($E13,4,3),'Wochentag F(WT)'!$B$7:$J$22,S$9,0),4)</f>
        <v>1</v>
      </c>
      <c r="T13" s="282">
        <f>ROUND(VLOOKUP(MID($E13,4,3),'Wochentag F(WT)'!$B$7:$J$22,T$9,0),4)</f>
        <v>1</v>
      </c>
      <c r="U13" s="282">
        <f>ROUND(VLOOKUP(MID($E13,4,3),'Wochentag F(WT)'!$B$7:$J$22,U$9,0),4)</f>
        <v>1</v>
      </c>
      <c r="V13" s="282">
        <f>ROUND(VLOOKUP(MID($E13,4,3),'Wochentag F(WT)'!$B$7:$J$22,V$9,0),4)</f>
        <v>1</v>
      </c>
      <c r="W13" s="282">
        <f>ROUND(VLOOKUP(MID($E13,4,3),'Wochentag F(WT)'!$B$7:$J$22,W$9,0),4)</f>
        <v>1</v>
      </c>
      <c r="X13" s="283">
        <f t="shared" ref="X13:X22" si="2">7-SUM(R13:W13)</f>
        <v>1</v>
      </c>
      <c r="Y13" s="304">
        <v>349.77699999999999</v>
      </c>
      <c r="Z13" s="213"/>
    </row>
    <row r="14" spans="2:26" s="144" customFormat="1">
      <c r="B14" s="145">
        <v>3</v>
      </c>
      <c r="C14" s="146" t="str">
        <f t="shared" si="0"/>
        <v>Altensteig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si="2"/>
        <v>1</v>
      </c>
      <c r="Y14" s="304">
        <v>365.96199999999999</v>
      </c>
      <c r="Z14" s="213"/>
    </row>
    <row r="15" spans="2:26" s="144" customFormat="1">
      <c r="B15" s="145">
        <v>4</v>
      </c>
      <c r="C15" s="146" t="str">
        <f t="shared" si="0"/>
        <v>Altensteig</v>
      </c>
      <c r="D15" s="63" t="s">
        <v>248</v>
      </c>
      <c r="E15" s="166" t="s">
        <v>668</v>
      </c>
      <c r="F15" s="308" t="str">
        <f>VLOOKUP($E15,'BDEW-Standard'!$B$3:$M$94,F$9,0)</f>
        <v>BA4</v>
      </c>
      <c r="H15" s="279">
        <f>ROUND(VLOOKUP($E15,'BDEW-Standard'!$B$3:$M$94,H$9,0),7)</f>
        <v>0.93158890000000005</v>
      </c>
      <c r="I15" s="279">
        <f>ROUND(VLOOKUP($E15,'BDEW-Standard'!$B$3:$M$94,I$9,0),7)</f>
        <v>-33.35</v>
      </c>
      <c r="J15" s="279">
        <f>ROUND(VLOOKUP($E15,'BDEW-Standard'!$B$3:$M$94,J$9,0),7)</f>
        <v>5.7212303000000002</v>
      </c>
      <c r="K15" s="279">
        <f>ROUND(VLOOKUP($E15,'BDEW-Standard'!$B$3:$M$94,K$9,0),7)</f>
        <v>0.66564939999999995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1.0766391850538448</v>
      </c>
      <c r="R15" s="282">
        <f>ROUND(VLOOKUP(MID($E15,4,3),'Wochentag F(WT)'!$B$7:$J$22,R$9,0),4)</f>
        <v>1.0848</v>
      </c>
      <c r="S15" s="282">
        <f>ROUND(VLOOKUP(MID($E15,4,3),'Wochentag F(WT)'!$B$7:$J$22,S$9,0),4)</f>
        <v>1.1211</v>
      </c>
      <c r="T15" s="282">
        <f>ROUND(VLOOKUP(MID($E15,4,3),'Wochentag F(WT)'!$B$7:$J$22,T$9,0),4)</f>
        <v>1.0769</v>
      </c>
      <c r="U15" s="282">
        <f>ROUND(VLOOKUP(MID($E15,4,3),'Wochentag F(WT)'!$B$7:$J$22,U$9,0),4)</f>
        <v>1.1353</v>
      </c>
      <c r="V15" s="282">
        <f>ROUND(VLOOKUP(MID($E15,4,3),'Wochentag F(WT)'!$B$7:$J$22,V$9,0),4)</f>
        <v>1.1402000000000001</v>
      </c>
      <c r="W15" s="282">
        <f>ROUND(VLOOKUP(MID($E15,4,3),'Wochentag F(WT)'!$B$7:$J$22,W$9,0),4)</f>
        <v>0.48520000000000002</v>
      </c>
      <c r="X15" s="283">
        <f t="shared" si="2"/>
        <v>0.95650000000000013</v>
      </c>
      <c r="Y15" s="304">
        <v>375.745</v>
      </c>
      <c r="Z15" s="213"/>
    </row>
    <row r="16" spans="2:26" s="144" customFormat="1">
      <c r="B16" s="145">
        <v>5</v>
      </c>
      <c r="C16" s="146" t="str">
        <f t="shared" si="0"/>
        <v>Altensteig</v>
      </c>
      <c r="D16" s="63" t="s">
        <v>248</v>
      </c>
      <c r="E16" s="166" t="s">
        <v>669</v>
      </c>
      <c r="F16" s="308" t="str">
        <f>VLOOKUP($E16,'BDEW-Standard'!$B$3:$M$94,F$9,0)</f>
        <v>BD4</v>
      </c>
      <c r="H16" s="279">
        <f>ROUND(VLOOKUP($E16,'BDEW-Standard'!$B$3:$M$94,H$9,0),7)</f>
        <v>3.75</v>
      </c>
      <c r="I16" s="279">
        <f>ROUND(VLOOKUP($E16,'BDEW-Standard'!$B$3:$M$94,I$9,0),7)</f>
        <v>-37.5</v>
      </c>
      <c r="J16" s="279">
        <f>ROUND(VLOOKUP($E16,'BDEW-Standard'!$B$3:$M$94,J$9,0),7)</f>
        <v>6.8</v>
      </c>
      <c r="K16" s="279">
        <f>ROUND(VLOOKUP($E16,'BDEW-Standard'!$B$3:$M$94,K$9,0),7)</f>
        <v>6.0911300000000002E-2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1.0126136468627658</v>
      </c>
      <c r="R16" s="282">
        <f>ROUND(VLOOKUP(MID($E16,4,3),'Wochentag F(WT)'!$B$7:$J$22,R$9,0),4)</f>
        <v>1.1052</v>
      </c>
      <c r="S16" s="282">
        <f>ROUND(VLOOKUP(MID($E16,4,3),'Wochentag F(WT)'!$B$7:$J$22,S$9,0),4)</f>
        <v>1.0857000000000001</v>
      </c>
      <c r="T16" s="282">
        <f>ROUND(VLOOKUP(MID($E16,4,3),'Wochentag F(WT)'!$B$7:$J$22,T$9,0),4)</f>
        <v>1.0378000000000001</v>
      </c>
      <c r="U16" s="282">
        <f>ROUND(VLOOKUP(MID($E16,4,3),'Wochentag F(WT)'!$B$7:$J$22,U$9,0),4)</f>
        <v>1.0622</v>
      </c>
      <c r="V16" s="282">
        <f>ROUND(VLOOKUP(MID($E16,4,3),'Wochentag F(WT)'!$B$7:$J$22,V$9,0),4)</f>
        <v>1.0266</v>
      </c>
      <c r="W16" s="282">
        <f>ROUND(VLOOKUP(MID($E16,4,3),'Wochentag F(WT)'!$B$7:$J$22,W$9,0),4)</f>
        <v>0.76290000000000002</v>
      </c>
      <c r="X16" s="283">
        <f t="shared" si="2"/>
        <v>0.91959999999999997</v>
      </c>
      <c r="Y16" s="304">
        <v>378.18400000000003</v>
      </c>
      <c r="Z16" s="213"/>
    </row>
    <row r="17" spans="2:26" s="144" customFormat="1">
      <c r="B17" s="145">
        <v>6</v>
      </c>
      <c r="C17" s="146" t="str">
        <f t="shared" si="0"/>
        <v>Altensteig</v>
      </c>
      <c r="D17" s="63" t="s">
        <v>248</v>
      </c>
      <c r="E17" s="166" t="s">
        <v>670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>
        <v>372.60700000000003</v>
      </c>
      <c r="Z17" s="213"/>
    </row>
    <row r="18" spans="2:26" s="144" customFormat="1">
      <c r="B18" s="145">
        <v>7</v>
      </c>
      <c r="C18" s="146" t="str">
        <f t="shared" si="0"/>
        <v>Altensteig</v>
      </c>
      <c r="D18" s="63" t="s">
        <v>248</v>
      </c>
      <c r="E18" s="166" t="s">
        <v>671</v>
      </c>
      <c r="F18" s="308" t="str">
        <f>VLOOKUP($E18,'BDEW-Standard'!$B$3:$M$94,F$9,0)</f>
        <v>BH4</v>
      </c>
      <c r="H18" s="279">
        <f>ROUND(VLOOKUP($E18,'BDEW-Standard'!$B$3:$M$94,H$9,0),7)</f>
        <v>2.4595180999999999</v>
      </c>
      <c r="I18" s="279">
        <f>ROUND(VLOOKUP($E18,'BDEW-Standard'!$B$3:$M$94,I$9,0),7)</f>
        <v>-35.253212400000002</v>
      </c>
      <c r="J18" s="279">
        <f>ROUND(VLOOKUP($E18,'BDEW-Standard'!$B$3:$M$94,J$9,0),7)</f>
        <v>6.0587001000000003</v>
      </c>
      <c r="K18" s="279">
        <f>ROUND(VLOOKUP($E18,'BDEW-Standard'!$B$3:$M$94,K$9,0),7)</f>
        <v>0.16473699999999999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1.043802057143173</v>
      </c>
      <c r="R18" s="282">
        <f>ROUND(VLOOKUP(MID($E18,4,3),'Wochentag F(WT)'!$B$7:$J$22,R$9,0),4)</f>
        <v>0.97670000000000001</v>
      </c>
      <c r="S18" s="282">
        <f>ROUND(VLOOKUP(MID($E18,4,3),'Wochentag F(WT)'!$B$7:$J$22,S$9,0),4)</f>
        <v>1.0388999999999999</v>
      </c>
      <c r="T18" s="282">
        <f>ROUND(VLOOKUP(MID($E18,4,3),'Wochentag F(WT)'!$B$7:$J$22,T$9,0),4)</f>
        <v>1.0027999999999999</v>
      </c>
      <c r="U18" s="282">
        <f>ROUND(VLOOKUP(MID($E18,4,3),'Wochentag F(WT)'!$B$7:$J$22,U$9,0),4)</f>
        <v>1.0162</v>
      </c>
      <c r="V18" s="282">
        <f>ROUND(VLOOKUP(MID($E18,4,3),'Wochentag F(WT)'!$B$7:$J$22,V$9,0),4)</f>
        <v>1.0024</v>
      </c>
      <c r="W18" s="282">
        <f>ROUND(VLOOKUP(MID($E18,4,3),'Wochentag F(WT)'!$B$7:$J$22,W$9,0),4)</f>
        <v>1.0043</v>
      </c>
      <c r="X18" s="283">
        <f t="shared" si="2"/>
        <v>0.95870000000000122</v>
      </c>
      <c r="Y18" s="304">
        <v>360.77699999999999</v>
      </c>
      <c r="Z18" s="213"/>
    </row>
    <row r="19" spans="2:26" s="144" customFormat="1">
      <c r="B19" s="145">
        <v>8</v>
      </c>
      <c r="C19" s="146" t="str">
        <f t="shared" si="0"/>
        <v>Altensteig</v>
      </c>
      <c r="D19" s="63" t="s">
        <v>248</v>
      </c>
      <c r="E19" s="166" t="s">
        <v>672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>
        <v>361.46600000000001</v>
      </c>
      <c r="Z19" s="213"/>
    </row>
    <row r="20" spans="2:26" s="144" customFormat="1">
      <c r="B20" s="145">
        <v>9</v>
      </c>
      <c r="C20" s="146" t="str">
        <f t="shared" si="0"/>
        <v>Altensteig</v>
      </c>
      <c r="D20" s="63" t="s">
        <v>248</v>
      </c>
      <c r="E20" s="166" t="s">
        <v>673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>
        <v>353.613</v>
      </c>
      <c r="Z20" s="213"/>
    </row>
    <row r="21" spans="2:26" s="144" customFormat="1">
      <c r="B21" s="145">
        <v>10</v>
      </c>
      <c r="C21" s="146" t="str">
        <f t="shared" si="0"/>
        <v>Altensteig</v>
      </c>
      <c r="D21" s="63" t="s">
        <v>248</v>
      </c>
      <c r="E21" s="166" t="s">
        <v>675</v>
      </c>
      <c r="F21" s="308" t="str">
        <f>VLOOKUP($E21,'BDEW-Standard'!$B$3:$M$94,F$9,0)</f>
        <v>HA4</v>
      </c>
      <c r="H21" s="279">
        <f>ROUND(VLOOKUP($E21,'BDEW-Standard'!$B$3:$M$94,H$9,0),7)</f>
        <v>4.0196902000000003</v>
      </c>
      <c r="I21" s="279">
        <f>ROUND(VLOOKUP($E21,'BDEW-Standard'!$B$3:$M$94,I$9,0),7)</f>
        <v>-37.828203700000003</v>
      </c>
      <c r="J21" s="279">
        <f>ROUND(VLOOKUP($E21,'BDEW-Standard'!$B$3:$M$94,J$9,0),7)</f>
        <v>8.1593368999999996</v>
      </c>
      <c r="K21" s="279">
        <f>ROUND(VLOOKUP($E21,'BDEW-Standard'!$B$3:$M$94,K$9,0),7)</f>
        <v>4.72845E-2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0.86486713303260787</v>
      </c>
      <c r="R21" s="282">
        <f>ROUND(VLOOKUP(MID($E21,4,3),'Wochentag F(WT)'!$B$7:$J$22,R$9,0),4)</f>
        <v>1.0358000000000001</v>
      </c>
      <c r="S21" s="282">
        <f>ROUND(VLOOKUP(MID($E21,4,3),'Wochentag F(WT)'!$B$7:$J$22,S$9,0),4)</f>
        <v>1.0232000000000001</v>
      </c>
      <c r="T21" s="282">
        <f>ROUND(VLOOKUP(MID($E21,4,3),'Wochentag F(WT)'!$B$7:$J$22,T$9,0),4)</f>
        <v>1.0251999999999999</v>
      </c>
      <c r="U21" s="282">
        <f>ROUND(VLOOKUP(MID($E21,4,3),'Wochentag F(WT)'!$B$7:$J$22,U$9,0),4)</f>
        <v>1.0295000000000001</v>
      </c>
      <c r="V21" s="282">
        <f>ROUND(VLOOKUP(MID($E21,4,3),'Wochentag F(WT)'!$B$7:$J$22,V$9,0),4)</f>
        <v>1.0253000000000001</v>
      </c>
      <c r="W21" s="282">
        <f>ROUND(VLOOKUP(MID($E21,4,3),'Wochentag F(WT)'!$B$7:$J$22,W$9,0),4)</f>
        <v>0.96750000000000003</v>
      </c>
      <c r="X21" s="283">
        <f t="shared" si="2"/>
        <v>0.89350000000000041</v>
      </c>
      <c r="Y21" s="304">
        <v>359.21899999999999</v>
      </c>
      <c r="Z21" s="213"/>
    </row>
    <row r="22" spans="2:26" s="144" customFormat="1">
      <c r="B22" s="145">
        <v>11</v>
      </c>
      <c r="C22" s="146" t="str">
        <f t="shared" si="0"/>
        <v>Altensteig</v>
      </c>
      <c r="D22" s="63" t="s">
        <v>248</v>
      </c>
      <c r="E22" s="166" t="s">
        <v>674</v>
      </c>
      <c r="F22" s="308" t="str">
        <f>VLOOKUP($E22,'BDEW-Standard'!$B$3:$M$94,F$9,0)</f>
        <v>PD4</v>
      </c>
      <c r="H22" s="279">
        <f>ROUND(VLOOKUP($E22,'BDEW-Standard'!$B$3:$M$94,H$9,0),7)</f>
        <v>3.85</v>
      </c>
      <c r="I22" s="279">
        <f>ROUND(VLOOKUP($E22,'BDEW-Standard'!$B$3:$M$94,I$9,0),7)</f>
        <v>-37</v>
      </c>
      <c r="J22" s="279">
        <f>ROUND(VLOOKUP($E22,'BDEW-Standard'!$B$3:$M$94,J$9,0),7)</f>
        <v>10.2405021</v>
      </c>
      <c r="K22" s="279">
        <f>ROUND(VLOOKUP($E22,'BDEW-Standard'!$B$3:$M$94,K$9,0),7)</f>
        <v>4.6924300000000002E-2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0.75691065279879233</v>
      </c>
      <c r="R22" s="282">
        <f>ROUND(VLOOKUP(MID($E22,4,3),'Wochentag F(WT)'!$B$7:$J$22,R$9,0),4)</f>
        <v>1.0214000000000001</v>
      </c>
      <c r="S22" s="282">
        <f>ROUND(VLOOKUP(MID($E22,4,3),'Wochentag F(WT)'!$B$7:$J$22,S$9,0),4)</f>
        <v>1.0866</v>
      </c>
      <c r="T22" s="282">
        <f>ROUND(VLOOKUP(MID($E22,4,3),'Wochentag F(WT)'!$B$7:$J$22,T$9,0),4)</f>
        <v>1.0720000000000001</v>
      </c>
      <c r="U22" s="282">
        <f>ROUND(VLOOKUP(MID($E22,4,3),'Wochentag F(WT)'!$B$7:$J$22,U$9,0),4)</f>
        <v>1.0557000000000001</v>
      </c>
      <c r="V22" s="282">
        <f>ROUND(VLOOKUP(MID($E22,4,3),'Wochentag F(WT)'!$B$7:$J$22,V$9,0),4)</f>
        <v>1.0117</v>
      </c>
      <c r="W22" s="282">
        <f>ROUND(VLOOKUP(MID($E22,4,3),'Wochentag F(WT)'!$B$7:$J$22,W$9,0),4)</f>
        <v>0.90010000000000001</v>
      </c>
      <c r="X22" s="283">
        <f t="shared" si="2"/>
        <v>0.85249999999999915</v>
      </c>
      <c r="Y22" s="304">
        <v>356.32600000000002</v>
      </c>
      <c r="Z22" s="213"/>
    </row>
    <row r="23" spans="2:26" s="144" customFormat="1">
      <c r="B23" s="145">
        <v>12</v>
      </c>
      <c r="C23" s="146" t="str">
        <f t="shared" si="0"/>
        <v>Altensteig</v>
      </c>
      <c r="D23" s="63"/>
      <c r="E23" s="166"/>
      <c r="F23" s="308"/>
      <c r="H23" s="279"/>
      <c r="I23" s="279"/>
      <c r="J23" s="279"/>
      <c r="K23" s="279"/>
      <c r="L23" s="280"/>
      <c r="M23" s="279"/>
      <c r="N23" s="279"/>
      <c r="O23" s="279"/>
      <c r="P23" s="279"/>
      <c r="Q23" s="281"/>
      <c r="R23" s="282"/>
      <c r="S23" s="282"/>
      <c r="T23" s="282"/>
      <c r="U23" s="282"/>
      <c r="V23" s="282"/>
      <c r="W23" s="282"/>
      <c r="X23" s="283"/>
      <c r="Y23" s="304"/>
      <c r="Z23" s="213"/>
    </row>
    <row r="24" spans="2:26" s="144" customFormat="1">
      <c r="B24" s="145">
        <v>13</v>
      </c>
      <c r="C24" s="146" t="str">
        <f t="shared" si="0"/>
        <v>Altensteig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Altensteig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Altensteig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Altensteig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Altensteig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Altensteig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Altensteig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Altensteig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Altensteig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Altensteig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Altensteig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Altensteig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Altensteig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Altensteig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Altensteig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Altensteig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Altensteig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Altensteig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K22 M12:X22" unlockedFormula="1"/>
    <ignoredError sqref="L12:L2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abSelected="1" zoomScale="80" zoomScaleNormal="80" workbookViewId="0">
      <selection activeCell="U11" sqref="U11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Stadtwerke Altensteig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Altensteig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9870113800006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45078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6" t="s">
        <v>455</v>
      </c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8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1" t="s">
        <v>583</v>
      </c>
      <c r="C10" s="362"/>
      <c r="D10" s="95">
        <v>2</v>
      </c>
      <c r="E10" s="96" t="str">
        <f>IF(ISERROR(HLOOKUP(E$11,$M$9:$AD$35,$D10,0)),"",HLOOKUP(E$11,$M$9:$AD$35,$D10,0))</f>
        <v/>
      </c>
      <c r="F10" s="359" t="s">
        <v>395</v>
      </c>
      <c r="G10" s="359"/>
      <c r="H10" s="359"/>
      <c r="I10" s="359"/>
      <c r="J10" s="359"/>
      <c r="K10" s="359"/>
      <c r="L10" s="360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0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1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1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1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1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3" t="s">
        <v>249</v>
      </c>
      <c r="B3" s="239" t="s">
        <v>86</v>
      </c>
      <c r="C3" s="240"/>
      <c r="D3" s="365" t="s">
        <v>454</v>
      </c>
      <c r="E3" s="366"/>
      <c r="F3" s="366"/>
      <c r="G3" s="366"/>
      <c r="H3" s="366"/>
      <c r="I3" s="366"/>
      <c r="J3" s="367"/>
      <c r="K3" s="241"/>
      <c r="L3" s="241"/>
      <c r="M3" s="241"/>
      <c r="N3" s="241"/>
      <c r="O3" s="242"/>
      <c r="P3" s="241"/>
    </row>
    <row r="4" spans="1:16" ht="20.100000000000001" customHeight="1">
      <c r="A4" s="364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Laura Brunn</cp:lastModifiedBy>
  <cp:lastPrinted>2015-03-20T22:59:10Z</cp:lastPrinted>
  <dcterms:created xsi:type="dcterms:W3CDTF">2015-01-15T05:25:41Z</dcterms:created>
  <dcterms:modified xsi:type="dcterms:W3CDTF">2023-03-30T13:52:15Z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